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Exemples/"/>
    </mc:Choice>
  </mc:AlternateContent>
  <xr:revisionPtr revIDLastSave="0" documentId="13_ncr:1_{F1574657-F59F-4A42-92DD-3EDA8298AB41}" xr6:coauthVersionLast="47" xr6:coauthVersionMax="47" xr10:uidLastSave="{00000000-0000-0000-0000-000000000000}"/>
  <bookViews>
    <workbookView xWindow="200" yWindow="3140" windowWidth="22340" windowHeight="11620" xr2:uid="{392131E0-CF21-844C-8E16-A9DF15D63DCD}"/>
  </bookViews>
  <sheets>
    <sheet name="Feuil1" sheetId="1" r:id="rId1"/>
    <sheet name="Tests" sheetId="4" r:id="rId2"/>
    <sheet name="Stats" sheetId="2" r:id="rId3"/>
    <sheet name="Dates" sheetId="3" r:id="rId4"/>
    <sheet name="Prêts" sheetId="5" r:id="rId5"/>
    <sheet name="Texte" sheetId="7" r:id="rId6"/>
    <sheet name="Tests 2" sheetId="6" r:id="rId7"/>
  </sheets>
  <definedNames>
    <definedName name="PrixKM">Tests!$B$1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 a="1"/>
  <c r="I13" i="4" s="1"/>
  <c r="H4" i="4"/>
  <c r="H5" i="4"/>
  <c r="H3" i="4"/>
  <c r="H25" i="6" l="1"/>
  <c r="H24" i="6"/>
  <c r="G25" i="6"/>
  <c r="G24" i="6"/>
  <c r="G17" i="6" l="1" a="1"/>
  <c r="G17" i="6" s="1"/>
  <c r="G14" i="6"/>
  <c r="G15" i="6"/>
  <c r="F2" i="6"/>
  <c r="F4" i="6"/>
  <c r="F3" i="6"/>
  <c r="C2" i="6" a="1"/>
  <c r="C2" i="6"/>
  <c r="J2" i="7"/>
  <c r="I2" i="7"/>
  <c r="G2" i="7"/>
  <c r="I6" i="7"/>
  <c r="G6" i="7"/>
  <c r="K2" i="7"/>
  <c r="H2" i="7"/>
  <c r="F2" i="7"/>
  <c r="E2" i="7"/>
  <c r="H18" i="6" a="1"/>
  <c r="H18" i="6" s="1"/>
  <c r="J17" i="6" a="1"/>
  <c r="J17" i="6" s="1"/>
  <c r="G18" i="6" a="1"/>
  <c r="G18" i="6" s="1"/>
  <c r="L17" i="6" a="1"/>
  <c r="L17" i="6" s="1"/>
  <c r="K17" i="6" a="1"/>
  <c r="K17" i="6" s="1"/>
  <c r="H14" i="6"/>
  <c r="H15" i="6"/>
  <c r="I7" i="6"/>
  <c r="C3" i="6" a="1"/>
  <c r="C3" i="6"/>
  <c r="C4" i="6" a="1"/>
  <c r="C4" i="6"/>
  <c r="C5" i="6" a="1"/>
  <c r="C5" i="6"/>
  <c r="C6" i="6" a="1"/>
  <c r="C6" i="6"/>
  <c r="J13" i="4"/>
  <c r="K13" i="4"/>
  <c r="N4" i="4"/>
  <c r="N5" i="4"/>
  <c r="M5" i="4"/>
  <c r="M3" i="4"/>
  <c r="M4" i="4"/>
  <c r="N3" i="4"/>
  <c r="C1" i="3"/>
  <c r="B6" i="5"/>
  <c r="E3" i="5"/>
  <c r="D4" i="5"/>
  <c r="B5" i="5"/>
  <c r="C2" i="5"/>
  <c r="B14" i="4"/>
  <c r="I4" i="4"/>
  <c r="B8" i="4"/>
  <c r="I5" i="4"/>
  <c r="G5" i="4"/>
  <c r="O5" i="4" s="1" a="1"/>
  <c r="O5" i="4" s="1"/>
  <c r="G4" i="4"/>
  <c r="O4" i="4" s="1" a="1"/>
  <c r="O4" i="4" s="1"/>
  <c r="I3" i="4"/>
  <c r="G3" i="4"/>
  <c r="B10" i="4" s="1"/>
  <c r="D5" i="3"/>
  <c r="B5" i="3"/>
  <c r="B3" i="3"/>
  <c r="B7" i="2"/>
  <c r="B5" i="2"/>
  <c r="B9" i="2"/>
  <c r="B4" i="3"/>
  <c r="B8" i="2"/>
  <c r="B6" i="2"/>
  <c r="B2" i="3"/>
  <c r="B1" i="3"/>
  <c r="E1" i="1"/>
  <c r="E2" i="1"/>
  <c r="E3" i="1"/>
  <c r="C2" i="1"/>
  <c r="C3" i="1"/>
  <c r="C1" i="1"/>
  <c r="E4" i="1"/>
  <c r="B13" i="4"/>
  <c r="B9" i="4"/>
  <c r="B17" i="4"/>
  <c r="L4" i="4"/>
  <c r="B16" i="4"/>
  <c r="O3" i="4" l="1" a="1"/>
  <c r="O3" i="4" s="1"/>
  <c r="G8" i="4"/>
  <c r="G9" i="4"/>
  <c r="G7" i="4"/>
  <c r="B7" i="4"/>
  <c r="M13" i="4"/>
  <c r="L3" i="4"/>
  <c r="N13" i="4"/>
  <c r="J5" i="4" a="1"/>
  <c r="J5" i="4" s="1"/>
  <c r="L5" i="4"/>
  <c r="J4" i="4" a="1"/>
  <c r="J4" i="4" s="1"/>
  <c r="L13" i="4"/>
  <c r="B11" i="4"/>
  <c r="J3" i="4" a="1"/>
  <c r="J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<sst xmlns="http://schemas.openxmlformats.org/spreadsheetml/2006/main" count="153" uniqueCount="122">
  <si>
    <t>Ecartype</t>
  </si>
  <si>
    <t>Ecartypep</t>
  </si>
  <si>
    <t>arrondi</t>
  </si>
  <si>
    <t>Moyenne</t>
  </si>
  <si>
    <t>AUJOURDHUI</t>
  </si>
  <si>
    <t>DATE</t>
  </si>
  <si>
    <t>JOURS</t>
  </si>
  <si>
    <t>JOURS OUVR</t>
  </si>
  <si>
    <t xml:space="preserve">Fériés  </t>
  </si>
  <si>
    <t>No SEMAINE</t>
  </si>
  <si>
    <t>début lundi</t>
  </si>
  <si>
    <t>début dimanche</t>
  </si>
  <si>
    <t>Mensualité ?</t>
  </si>
  <si>
    <t>Montant ?</t>
  </si>
  <si>
    <t>Durée ?</t>
  </si>
  <si>
    <t xml:space="preserve">Taux ? </t>
  </si>
  <si>
    <t>Montant</t>
  </si>
  <si>
    <t>Taux annuel</t>
  </si>
  <si>
    <t>Durée</t>
  </si>
  <si>
    <t>Mensualités</t>
  </si>
  <si>
    <t xml:space="preserve">Annualité </t>
  </si>
  <si>
    <t>Attention</t>
  </si>
  <si>
    <t>Taux en pourcentage (format)</t>
  </si>
  <si>
    <t>Durée, taux et valeur à payer dans la même unité (mois ou année)</t>
  </si>
  <si>
    <t>Résultats négatifs car déremboursement</t>
  </si>
  <si>
    <t>Prix KM</t>
  </si>
  <si>
    <t>Forfait</t>
  </si>
  <si>
    <t>Nom</t>
  </si>
  <si>
    <t>Service</t>
  </si>
  <si>
    <t>Début</t>
  </si>
  <si>
    <t>Fin</t>
  </si>
  <si>
    <t>KM Deb</t>
  </si>
  <si>
    <t>KM Fin</t>
  </si>
  <si>
    <t>KM</t>
  </si>
  <si>
    <t>Frais</t>
  </si>
  <si>
    <t>Catégorie Frais</t>
  </si>
  <si>
    <t>SI</t>
  </si>
  <si>
    <t>SI + JOURS</t>
  </si>
  <si>
    <t xml:space="preserve">SI + SI </t>
  </si>
  <si>
    <t>SI.COND</t>
  </si>
  <si>
    <t>Jean Dupont</t>
  </si>
  <si>
    <t>Compta</t>
  </si>
  <si>
    <t>Regis Champs</t>
  </si>
  <si>
    <t>Ventes</t>
  </si>
  <si>
    <t>T. Otto</t>
  </si>
  <si>
    <t>Vente</t>
  </si>
  <si>
    <t>Somme Si</t>
  </si>
  <si>
    <t>OU</t>
  </si>
  <si>
    <t>Nb Si</t>
  </si>
  <si>
    <t>SI (OU)</t>
  </si>
  <si>
    <t>SOMME.SI</t>
  </si>
  <si>
    <t>NB.SI</t>
  </si>
  <si>
    <t>SI.CONDITIONS en plusieurs fragments</t>
  </si>
  <si>
    <t>SOMME.SI (*)</t>
  </si>
  <si>
    <t>NB.SI (*)</t>
  </si>
  <si>
    <t>OU (*)</t>
  </si>
  <si>
    <t>SI (*)</t>
  </si>
  <si>
    <t>Devoir 1</t>
  </si>
  <si>
    <t>Concept</t>
  </si>
  <si>
    <t>Toto</t>
  </si>
  <si>
    <t>&lt; 10</t>
  </si>
  <si>
    <t>Titi</t>
  </si>
  <si>
    <t>&gt;=15</t>
  </si>
  <si>
    <t>Tata</t>
  </si>
  <si>
    <t>&gt;= 10 ET &lt; 15</t>
  </si>
  <si>
    <t>Si on fait =SOMME.SI((B2:B6;ET("&gt;=10";"&lt;15")) on aura une erreur</t>
  </si>
  <si>
    <t>Tutu</t>
  </si>
  <si>
    <t>=SOMME.SI((B2:B6;ET("&gt;=10";"&lt;15"))</t>
  </si>
  <si>
    <t>Tupi</t>
  </si>
  <si>
    <t>car on ne peut pas faire ET("&gt;=10";"&lt;15")</t>
  </si>
  <si>
    <t>Pour faire de la recherche multi-critères (nom &amp; prénom, par exemple) :</t>
  </si>
  <si>
    <t>Prénom</t>
  </si>
  <si>
    <t>Valeur</t>
  </si>
  <si>
    <t>n° ligne</t>
  </si>
  <si>
    <t>on cherche...</t>
  </si>
  <si>
    <t>Tarti</t>
  </si>
  <si>
    <t>Tartu</t>
  </si>
  <si>
    <t>equiv</t>
  </si>
  <si>
    <t>equivx</t>
  </si>
  <si>
    <t>equivx permet de retrouver le dernier (option -1)</t>
  </si>
  <si>
    <t xml:space="preserve">la formule (A14:A18 = $G$13) </t>
  </si>
  <si>
    <t>rech multi val</t>
  </si>
  <si>
    <t>permet de construire une plage</t>
  </si>
  <si>
    <t>par contre, on aurait tjs de problèmes</t>
  </si>
  <si>
    <t>avec les résultats des tests pour</t>
  </si>
  <si>
    <t>avec les homonimes parfaits (nom + prénom)</t>
  </si>
  <si>
    <t>chaque celulle de la plage indiquée</t>
  </si>
  <si>
    <t>Email</t>
  </si>
  <si>
    <t>CONCAT</t>
  </si>
  <si>
    <t xml:space="preserve">&amp; </t>
  </si>
  <si>
    <t>DROITE</t>
  </si>
  <si>
    <t>GAUCHE</t>
  </si>
  <si>
    <t>TROUVE</t>
  </si>
  <si>
    <t>CHERCHE</t>
  </si>
  <si>
    <t>GAUCHE+CHERCHE</t>
  </si>
  <si>
    <t>Toto.Tartu@myco.com</t>
  </si>
  <si>
    <t>Titi.Tarti@myco.com</t>
  </si>
  <si>
    <t>Tata.Tartu@myco.com</t>
  </si>
  <si>
    <t>Toto.Tarti@myco.com</t>
  </si>
  <si>
    <t>attention TROUVE est sensible à la case (majuscule ≠ minuscule)</t>
  </si>
  <si>
    <t>Titi.Tartu@myco.com</t>
  </si>
  <si>
    <t>titi.tartu</t>
  </si>
  <si>
    <t>Tata.Tartu2@myco.com</t>
  </si>
  <si>
    <t>Moyenne si</t>
  </si>
  <si>
    <t xml:space="preserve">Utiliser MOYENNE.SI.ENS pour faire des moyennes avec </t>
  </si>
  <si>
    <t>des critères multiples (même chose pour la somme avec SOMME.SI.ENS)</t>
  </si>
  <si>
    <t>bidouille nom+prénom</t>
  </si>
  <si>
    <t>Tarflu</t>
  </si>
  <si>
    <t>equivx avec *</t>
  </si>
  <si>
    <t>recherche inexacte</t>
  </si>
  <si>
    <t>Tifi</t>
  </si>
  <si>
    <t>Ti?i</t>
  </si>
  <si>
    <t>Tar*u</t>
  </si>
  <si>
    <t>du haut vers le bas</t>
  </si>
  <si>
    <t>du bas vers le haut</t>
  </si>
  <si>
    <t>Nb Si Ens</t>
  </si>
  <si>
    <t>Nb Jours</t>
  </si>
  <si>
    <t>nb jours &lt; 2</t>
  </si>
  <si>
    <t>forfait jour</t>
  </si>
  <si>
    <t>KM &lt;= 1000</t>
  </si>
  <si>
    <t>forfait KM</t>
  </si>
  <si>
    <t>forfait KM*10%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</si>
</sst>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_);\(#,##0.00\ &quot;€&quot;\)"/>
    <numFmt numFmtId="8" formatCode="#,##0.00\ &quot;€&quot;_);[Red]\(#,##0.00\ &quot;€&quot;\)"/>
    <numFmt numFmtId="44" formatCode="_ * #,##0.00_)\ &quot;€&quot;_ ;_ * \(#,##0.00\)\ &quot;€&quot;_ ;_ * &quot;-&quot;??_)\ &quot;€&quot;_ ;_ @_ "/>
    <numFmt numFmtId="164" formatCode="#,##0.00\ &quot;€&quot;"/>
    <numFmt numFmtId="165" formatCode="_-* #,##0.00\ [$€-40C]_-;\-* #,##0.00\ [$€-40C]_-;_-* &quot;-&quot;??\ [$€-40C]_-;_-@_-"/>
    <numFmt numFmtId="166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44" fontId="0" fillId="0" borderId="0" xfId="1" applyFont="1" applyAlignment="1">
      <alignment horizontal="left"/>
    </xf>
    <xf numFmtId="8" fontId="0" fillId="3" borderId="0" xfId="0" applyNumberFormat="1" applyFill="1"/>
    <xf numFmtId="165" fontId="0" fillId="0" borderId="0" xfId="0" applyNumberFormat="1"/>
    <xf numFmtId="10" fontId="0" fillId="0" borderId="0" xfId="2" applyNumberFormat="1" applyFont="1"/>
    <xf numFmtId="8" fontId="0" fillId="0" borderId="0" xfId="0" applyNumberFormat="1"/>
    <xf numFmtId="7" fontId="0" fillId="0" borderId="0" xfId="0" applyNumberFormat="1"/>
    <xf numFmtId="10" fontId="0" fillId="0" borderId="0" xfId="0" applyNumberFormat="1"/>
    <xf numFmtId="44" fontId="0" fillId="0" borderId="0" xfId="1" applyFont="1"/>
    <xf numFmtId="165" fontId="0" fillId="3" borderId="0" xfId="0" applyNumberFormat="1" applyFill="1"/>
    <xf numFmtId="0" fontId="0" fillId="0" borderId="0" xfId="0" applyNumberFormat="1"/>
    <xf numFmtId="164" fontId="0" fillId="0" borderId="0" xfId="1" applyNumberFormat="1" applyFont="1"/>
    <xf numFmtId="10" fontId="0" fillId="3" borderId="0" xfId="0" applyNumberFormat="1" applyFill="1"/>
    <xf numFmtId="166" fontId="0" fillId="3" borderId="0" xfId="0" applyNumberFormat="1" applyFill="1"/>
    <xf numFmtId="0" fontId="1" fillId="3" borderId="0" xfId="0" applyFont="1" applyFill="1" applyAlignment="1">
      <alignment horizontal="center"/>
    </xf>
    <xf numFmtId="44" fontId="0" fillId="0" borderId="0" xfId="0" applyNumberFormat="1"/>
    <xf numFmtId="164" fontId="3" fillId="0" borderId="0" xfId="0" quotePrefix="1" applyNumberFormat="1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5" borderId="0" xfId="0" applyFill="1"/>
    <xf numFmtId="0" fontId="0" fillId="5" borderId="0" xfId="0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C77C-774C-B54A-8BA0-796BD2D27FC9}">
  <dimension ref="A1:E4"/>
  <sheetViews>
    <sheetView tabSelected="1" workbookViewId="0">
      <selection activeCell="E4" sqref="E4"/>
    </sheetView>
  </sheetViews>
  <sheetFormatPr baseColWidth="10" defaultColWidth="10.83203125" defaultRowHeight="16" x14ac:dyDescent="0.2"/>
  <cols>
    <col min="3" max="3" width="11.83203125" customWidth="1"/>
    <col min="5" max="5" width="15" customWidth="1"/>
  </cols>
  <sheetData>
    <row r="1" spans="1:5" x14ac:dyDescent="0.2">
      <c r="A1">
        <v>3</v>
      </c>
      <c r="B1">
        <v>2</v>
      </c>
      <c r="C1">
        <f>A1+B1</f>
        <v>5</v>
      </c>
      <c r="D1">
        <v>5</v>
      </c>
      <c r="E1">
        <f>SUM(A1,D1)</f>
        <v>8</v>
      </c>
    </row>
    <row r="2" spans="1:5" x14ac:dyDescent="0.2">
      <c r="A2">
        <v>6</v>
      </c>
      <c r="B2">
        <v>4</v>
      </c>
      <c r="C2">
        <f>A2+B2</f>
        <v>10</v>
      </c>
      <c r="D2">
        <v>6</v>
      </c>
      <c r="E2">
        <f t="shared" ref="E2:E3" si="0">SUM(A2,D2)</f>
        <v>12</v>
      </c>
    </row>
    <row r="3" spans="1:5" x14ac:dyDescent="0.2">
      <c r="A3">
        <v>10</v>
      </c>
      <c r="B3">
        <v>2</v>
      </c>
      <c r="C3">
        <f t="shared" ref="C3" si="1">A3+B3</f>
        <v>12</v>
      </c>
      <c r="D3">
        <v>7</v>
      </c>
      <c r="E3">
        <f t="shared" si="0"/>
        <v>17</v>
      </c>
    </row>
    <row r="4" spans="1:5" x14ac:dyDescent="0.2">
      <c r="E4">
        <f>SUM(A1:D3)</f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D95F-555C-864E-B5B7-785773C2A3CA}">
  <dimension ref="A1:O17"/>
  <sheetViews>
    <sheetView workbookViewId="0">
      <selection activeCell="N9" sqref="N9"/>
    </sheetView>
  </sheetViews>
  <sheetFormatPr baseColWidth="10" defaultColWidth="10.83203125" defaultRowHeight="16" x14ac:dyDescent="0.2"/>
  <cols>
    <col min="1" max="1" width="13.5" customWidth="1"/>
    <col min="2" max="2" width="11.1640625" bestFit="1" customWidth="1"/>
    <col min="5" max="5" width="11.1640625" bestFit="1" customWidth="1"/>
    <col min="7" max="7" width="11.1640625" bestFit="1" customWidth="1"/>
    <col min="8" max="8" width="11.83203125" customWidth="1"/>
    <col min="9" max="9" width="15" customWidth="1"/>
    <col min="11" max="11" width="11.1640625" bestFit="1" customWidth="1"/>
    <col min="12" max="12" width="11.83203125" customWidth="1"/>
    <col min="13" max="13" width="11.1640625" bestFit="1" customWidth="1"/>
    <col min="14" max="14" width="13" customWidth="1"/>
  </cols>
  <sheetData>
    <row r="1" spans="1:15" x14ac:dyDescent="0.2">
      <c r="A1" s="4" t="s">
        <v>25</v>
      </c>
      <c r="B1" s="5">
        <v>1.65</v>
      </c>
      <c r="C1" s="4" t="s">
        <v>26</v>
      </c>
      <c r="D1" s="5">
        <v>200</v>
      </c>
    </row>
    <row r="2" spans="1:15" x14ac:dyDescent="0.2">
      <c r="A2" s="4" t="s">
        <v>27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116</v>
      </c>
      <c r="I2" s="4" t="s">
        <v>34</v>
      </c>
      <c r="J2" s="4" t="s">
        <v>35</v>
      </c>
      <c r="L2" s="19" t="s">
        <v>36</v>
      </c>
      <c r="M2" s="19" t="s">
        <v>37</v>
      </c>
      <c r="N2" s="19" t="s">
        <v>38</v>
      </c>
      <c r="O2" s="19" t="s">
        <v>39</v>
      </c>
    </row>
    <row r="3" spans="1:15" x14ac:dyDescent="0.2">
      <c r="A3" t="s">
        <v>40</v>
      </c>
      <c r="B3" t="s">
        <v>41</v>
      </c>
      <c r="C3" s="1">
        <v>43709</v>
      </c>
      <c r="D3" s="1">
        <v>43713</v>
      </c>
      <c r="E3">
        <v>7532</v>
      </c>
      <c r="F3">
        <v>10432</v>
      </c>
      <c r="G3">
        <f>F3-E3</f>
        <v>2900</v>
      </c>
      <c r="H3">
        <f>_xlfn.DAYS(D3,C3)</f>
        <v>4</v>
      </c>
      <c r="I3" s="6">
        <f>(F3-E3)*PrixKM</f>
        <v>4785</v>
      </c>
      <c r="J3" t="str" cm="1">
        <f t="array" ref="J3">_xlfn.IFS(_xlfn.DAYS(D3,C3)&lt;2, "Forfait jour",G3&lt;1000,"Prix KM",TRUE,"Prix KM maj 10%")</f>
        <v>Prix KM maj 10%</v>
      </c>
      <c r="L3" s="13">
        <f>IF(I3&gt;1000,I3*1.1,I3)</f>
        <v>5263.5</v>
      </c>
      <c r="M3" s="13">
        <f>IF(_xlfn.DAYS(D3,C3)&lt;2,$D$1,(F3-E3)*PrixKM)</f>
        <v>4785</v>
      </c>
      <c r="N3" s="13">
        <f>IF(_xlfn.DAYS(D3,C3)&lt;2,
       $D$1,
       IF( (F3-E3)&gt;1000,
             (F3-E3)*PrixKM*1.1,
             (F3-E3)*PrixKM
         )
)</f>
        <v>5263.5</v>
      </c>
      <c r="O3" s="5" cm="1">
        <f t="array" ref="O3">_xlfn.IFS(_xlfn.DAYS(D3,C3)&lt;2,$D$1*(1+_xlfn.DAYS(D3,C3)),G3&lt;1000,G3*PrixKM, TRUE,G3*PrixKM*1.1 )</f>
        <v>5263.5</v>
      </c>
    </row>
    <row r="4" spans="1:15" x14ac:dyDescent="0.2">
      <c r="A4" t="s">
        <v>42</v>
      </c>
      <c r="B4" t="s">
        <v>43</v>
      </c>
      <c r="C4" s="1">
        <v>43710</v>
      </c>
      <c r="D4" s="1">
        <v>43710</v>
      </c>
      <c r="E4">
        <v>11230</v>
      </c>
      <c r="F4">
        <v>11580</v>
      </c>
      <c r="G4">
        <f t="shared" ref="G4:G5" si="0">F4-E4</f>
        <v>350</v>
      </c>
      <c r="H4">
        <f>_xlfn.DAYS(D4,C4)</f>
        <v>0</v>
      </c>
      <c r="I4" s="6">
        <f>(F4-E4)*PrixKM</f>
        <v>577.5</v>
      </c>
      <c r="J4" t="str" cm="1">
        <f t="array" ref="J4">_xlfn.IFS(_xlfn.DAYS(D4,C4)&lt;2, "Forfait jour",G4&lt;1000,"Prix KM",TRUE,"Prix KM maj 10%")</f>
        <v>Forfait jour</v>
      </c>
      <c r="L4" s="13">
        <f>IF(I4&gt;1000,I4*1.1,I4)</f>
        <v>577.5</v>
      </c>
      <c r="M4" s="13">
        <f>IF(_xlfn.DAYS(D4,C4)&lt;2,$D$1,(F4-E4)*PrixKM)</f>
        <v>200</v>
      </c>
      <c r="N4" s="13">
        <f>IF(_xlfn.DAYS(D4,C4)&lt;2,
       $D$1,
       IF( (F4-E4)&gt;1000,
             (F4-E4)*PrixKM*1.1,
             (F4-E4)*PrixKM
         )
)</f>
        <v>200</v>
      </c>
      <c r="O4" s="5" cm="1">
        <f t="array" ref="O4">_xlfn.IFS(_xlfn.DAYS(D4,C4)&lt;2,$D$1*(1+_xlfn.DAYS(D4,C4)),G4&lt;1000,G4*PrixKM, TRUE,G4*PrixKM*1.1 )</f>
        <v>200</v>
      </c>
    </row>
    <row r="5" spans="1:15" x14ac:dyDescent="0.2">
      <c r="A5" t="s">
        <v>44</v>
      </c>
      <c r="B5" t="s">
        <v>45</v>
      </c>
      <c r="C5" s="1">
        <v>43711</v>
      </c>
      <c r="D5" s="1">
        <v>43713</v>
      </c>
      <c r="E5">
        <v>12100</v>
      </c>
      <c r="F5">
        <v>12520</v>
      </c>
      <c r="G5">
        <f t="shared" si="0"/>
        <v>420</v>
      </c>
      <c r="H5">
        <f>_xlfn.DAYS(D5,C5)</f>
        <v>2</v>
      </c>
      <c r="I5" s="6">
        <f>(F5-E5)*PrixKM</f>
        <v>693</v>
      </c>
      <c r="J5" t="str" cm="1">
        <f t="array" ref="J5">_xlfn.IFS(_xlfn.DAYS(D5,C5)&lt;2, "Forfait jour",G5&lt;1000,"Prix KM",TRUE,"Prix KM maj 10%")</f>
        <v>Prix KM</v>
      </c>
      <c r="L5" s="13">
        <f>IF(I5&gt;1000,I5*1.1,I5)</f>
        <v>693</v>
      </c>
      <c r="M5" s="13">
        <f>IF(_xlfn.DAYS(D5,C5)&lt;2,$D$1,(F5-E5)*PrixKM)</f>
        <v>693</v>
      </c>
      <c r="N5" s="13">
        <f>IF(_xlfn.DAYS(D5,C5)&lt;2,
       $D$1,
       IF( (F5-E5)&gt;1000,
             (F5-E5)*PrixKM*1.1,
             (F5-E5)*PrixKM
         )
)</f>
        <v>693</v>
      </c>
      <c r="O5" s="5" cm="1">
        <f t="array" ref="O5">_xlfn.IFS(_xlfn.DAYS(D5,C5)&lt;2,$D$1*(1+_xlfn.DAYS(D5,C5)),G5&lt;1000,G5*PrixKM, TRUE,G5*PrixKM*1.1 )</f>
        <v>693</v>
      </c>
    </row>
    <row r="7" spans="1:15" x14ac:dyDescent="0.2">
      <c r="A7" s="3" t="s">
        <v>36</v>
      </c>
      <c r="B7" s="13">
        <f>IF(I3&gt;1000,I3*1.1,I3)</f>
        <v>5263.5</v>
      </c>
      <c r="E7" s="13"/>
      <c r="F7" s="3" t="s">
        <v>46</v>
      </c>
      <c r="G7" s="13">
        <f>SUMIF(G3:G5,"&gt;400",I3:I5)</f>
        <v>5478</v>
      </c>
    </row>
    <row r="8" spans="1:15" x14ac:dyDescent="0.2">
      <c r="A8" s="3" t="s">
        <v>47</v>
      </c>
      <c r="B8" t="b">
        <f>OR(B4="Ventes",I4&gt;1000)</f>
        <v>1</v>
      </c>
      <c r="E8" s="13"/>
      <c r="F8" s="3" t="s">
        <v>48</v>
      </c>
      <c r="G8">
        <f>COUNTIF(G3:G5,"&gt;400")</f>
        <v>2</v>
      </c>
    </row>
    <row r="9" spans="1:15" x14ac:dyDescent="0.2">
      <c r="A9" s="3" t="s">
        <v>49</v>
      </c>
      <c r="B9" s="13">
        <f>IF(OR(B4="Ventes",I4&gt;1000),I4*1.1,I4)</f>
        <v>635.25</v>
      </c>
      <c r="E9" s="13"/>
      <c r="F9" s="3" t="s">
        <v>115</v>
      </c>
      <c r="G9">
        <f>COUNTIFS(G3:G5,"&gt;400",H3:H5,"&gt;2")</f>
        <v>1</v>
      </c>
    </row>
    <row r="10" spans="1:15" x14ac:dyDescent="0.2">
      <c r="A10" s="3" t="s">
        <v>50</v>
      </c>
      <c r="B10" s="13">
        <f>SUMIF(G3:G5,"&gt;400",I3:I5)</f>
        <v>5478</v>
      </c>
    </row>
    <row r="11" spans="1:15" x14ac:dyDescent="0.2">
      <c r="A11" s="3" t="s">
        <v>51</v>
      </c>
      <c r="B11">
        <f>COUNTIF(G3:G5,"&gt;400")</f>
        <v>2</v>
      </c>
    </row>
    <row r="12" spans="1:15" x14ac:dyDescent="0.2">
      <c r="I12" s="3" t="s">
        <v>52</v>
      </c>
    </row>
    <row r="13" spans="1:15" x14ac:dyDescent="0.2">
      <c r="A13" s="3" t="s">
        <v>53</v>
      </c>
      <c r="B13" s="13">
        <f>SUMIF(B3:B5,"Vent*",I3:I5)</f>
        <v>1270.5</v>
      </c>
      <c r="I13" s="5" cm="1">
        <f t="array" ref="I13">_xlfn.IFS(J13,K13,L13,M13,TRUE,N13)</f>
        <v>5263.5</v>
      </c>
      <c r="J13" t="b">
        <f>(D3-C3)&lt;2</f>
        <v>0</v>
      </c>
      <c r="K13" s="5">
        <f>$D$1*(1+(D3-C3))</f>
        <v>1000</v>
      </c>
      <c r="L13" t="b">
        <f>G3&lt;=1000</f>
        <v>0</v>
      </c>
      <c r="M13" s="5">
        <f>G3*$B$1</f>
        <v>4785</v>
      </c>
      <c r="N13" s="21">
        <f>G3*$B$1*1.1</f>
        <v>5263.5</v>
      </c>
    </row>
    <row r="14" spans="1:15" x14ac:dyDescent="0.2">
      <c r="A14" s="3" t="s">
        <v>54</v>
      </c>
      <c r="B14">
        <f>COUNTIF(B3:B5,"vente*")</f>
        <v>2</v>
      </c>
      <c r="J14" s="28" t="s">
        <v>117</v>
      </c>
      <c r="K14" s="28" t="s">
        <v>118</v>
      </c>
      <c r="L14" s="28" t="s">
        <v>119</v>
      </c>
      <c r="M14" s="28" t="s">
        <v>120</v>
      </c>
      <c r="N14" s="28" t="s">
        <v>121</v>
      </c>
    </row>
    <row r="16" spans="1:15" x14ac:dyDescent="0.2">
      <c r="A16" s="3" t="s">
        <v>55</v>
      </c>
      <c r="B16" t="b">
        <f>OR(B4="Vente*",I4&gt;1000)</f>
        <v>0</v>
      </c>
    </row>
    <row r="17" spans="1:2" x14ac:dyDescent="0.2">
      <c r="A17" s="3" t="s">
        <v>56</v>
      </c>
      <c r="B17" s="13">
        <f>IF(B4="Vente*",I4*1.1,I4)</f>
        <v>577.5</v>
      </c>
    </row>
  </sheetData>
  <conditionalFormatting sqref="I3">
    <cfRule type="expression" dxfId="1" priority="2">
      <formula>_xlfn.DAYS(D3,C3)&gt;3</formula>
    </cfRule>
  </conditionalFormatting>
  <conditionalFormatting sqref="I4:I5">
    <cfRule type="expression" dxfId="0" priority="1">
      <formula>_xlfn.DAYS(D4,C4)&gt;3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55FA-A83B-944E-ADB8-1FEFF47B4CB3}">
  <dimension ref="A1:E9"/>
  <sheetViews>
    <sheetView workbookViewId="0">
      <selection activeCell="D4" sqref="D4"/>
    </sheetView>
  </sheetViews>
  <sheetFormatPr baseColWidth="10" defaultColWidth="10.83203125" defaultRowHeight="16" x14ac:dyDescent="0.2"/>
  <sheetData>
    <row r="1" spans="1:5" x14ac:dyDescent="0.2">
      <c r="A1">
        <v>2</v>
      </c>
      <c r="B1">
        <v>4</v>
      </c>
      <c r="C1">
        <v>8</v>
      </c>
      <c r="D1">
        <v>16</v>
      </c>
      <c r="E1">
        <v>32</v>
      </c>
    </row>
    <row r="2" spans="1:5" x14ac:dyDescent="0.2">
      <c r="A2">
        <v>4</v>
      </c>
      <c r="B2">
        <v>5</v>
      </c>
      <c r="C2">
        <v>12</v>
      </c>
      <c r="D2">
        <v>24</v>
      </c>
      <c r="E2">
        <v>48</v>
      </c>
    </row>
    <row r="3" spans="1:5" x14ac:dyDescent="0.2">
      <c r="A3">
        <v>6</v>
      </c>
      <c r="B3">
        <v>6.25</v>
      </c>
      <c r="C3">
        <v>18</v>
      </c>
      <c r="D3">
        <v>36</v>
      </c>
      <c r="E3">
        <v>72</v>
      </c>
    </row>
    <row r="4" spans="1:5" x14ac:dyDescent="0.2">
      <c r="A4">
        <v>8</v>
      </c>
      <c r="B4">
        <v>7.65</v>
      </c>
      <c r="C4">
        <v>27</v>
      </c>
      <c r="D4">
        <v>54</v>
      </c>
      <c r="E4">
        <v>108</v>
      </c>
    </row>
    <row r="5" spans="1:5" x14ac:dyDescent="0.2">
      <c r="B5">
        <f>SUM(B1:B4)</f>
        <v>22.9</v>
      </c>
    </row>
    <row r="6" spans="1:5" x14ac:dyDescent="0.2">
      <c r="A6" t="s">
        <v>0</v>
      </c>
      <c r="B6">
        <f>STDEV(A1:E4)</f>
        <v>27.476654684141934</v>
      </c>
    </row>
    <row r="7" spans="1:5" x14ac:dyDescent="0.2">
      <c r="A7" t="s">
        <v>1</v>
      </c>
      <c r="B7">
        <f>STDEVP(A1:E4)</f>
        <v>26.780930248966335</v>
      </c>
    </row>
    <row r="8" spans="1:5" x14ac:dyDescent="0.2">
      <c r="A8" t="s">
        <v>2</v>
      </c>
      <c r="B8">
        <f>MROUND(B4,0.5)</f>
        <v>7.5</v>
      </c>
    </row>
    <row r="9" spans="1:5" x14ac:dyDescent="0.2">
      <c r="A9" t="s">
        <v>3</v>
      </c>
      <c r="B9">
        <f>AVERAGE(A1:E4)</f>
        <v>24.895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FD81-33C5-A243-BAAD-A95C074DE895}">
  <dimension ref="A1:G5"/>
  <sheetViews>
    <sheetView workbookViewId="0">
      <selection activeCell="F5" sqref="F5"/>
    </sheetView>
  </sheetViews>
  <sheetFormatPr baseColWidth="10" defaultColWidth="10.83203125" defaultRowHeight="16" x14ac:dyDescent="0.2"/>
  <cols>
    <col min="1" max="1" width="12.5" customWidth="1"/>
  </cols>
  <sheetData>
    <row r="1" spans="1:7" x14ac:dyDescent="0.2">
      <c r="A1" t="s">
        <v>4</v>
      </c>
      <c r="B1" s="1">
        <f ca="1">TODAY()</f>
        <v>44804</v>
      </c>
      <c r="C1" s="2">
        <f ca="1">TODAY()</f>
        <v>44804</v>
      </c>
    </row>
    <row r="2" spans="1:7" x14ac:dyDescent="0.2">
      <c r="A2" t="s">
        <v>5</v>
      </c>
      <c r="B2" s="2">
        <f>DATE(1900,1,1)</f>
        <v>1</v>
      </c>
      <c r="C2" s="1">
        <v>1</v>
      </c>
    </row>
    <row r="3" spans="1:7" x14ac:dyDescent="0.2">
      <c r="A3" t="s">
        <v>6</v>
      </c>
      <c r="B3">
        <f>_xlfn.DAYS("31/5/2019","1/5/2019")</f>
        <v>30</v>
      </c>
    </row>
    <row r="4" spans="1:7" x14ac:dyDescent="0.2">
      <c r="A4" t="s">
        <v>7</v>
      </c>
      <c r="B4">
        <f>NETWORKDAYS("1/5/2019","31/5/2019",E4:G4)</f>
        <v>20</v>
      </c>
      <c r="D4" s="3" t="s">
        <v>8</v>
      </c>
      <c r="E4" s="1">
        <v>43586</v>
      </c>
      <c r="F4" s="1">
        <v>43593</v>
      </c>
      <c r="G4" s="1">
        <v>43615</v>
      </c>
    </row>
    <row r="5" spans="1:7" x14ac:dyDescent="0.2">
      <c r="A5" t="s">
        <v>9</v>
      </c>
      <c r="B5">
        <f>WEEKNUM("13/1/2019",2)</f>
        <v>2</v>
      </c>
      <c r="C5" t="s">
        <v>10</v>
      </c>
      <c r="D5">
        <f>WEEKNUM("13/1/2019",1)</f>
        <v>3</v>
      </c>
      <c r="E5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E57F-068B-964E-B5E9-542E48800247}">
  <dimension ref="A1:F14"/>
  <sheetViews>
    <sheetView workbookViewId="0">
      <selection activeCell="C14" sqref="C14"/>
    </sheetView>
  </sheetViews>
  <sheetFormatPr baseColWidth="10" defaultColWidth="10.83203125" defaultRowHeight="16" x14ac:dyDescent="0.2"/>
  <cols>
    <col min="1" max="1" width="13" customWidth="1"/>
    <col min="2" max="3" width="15.83203125" customWidth="1"/>
    <col min="4" max="4" width="14.5" customWidth="1"/>
    <col min="5" max="5" width="14.1640625" customWidth="1"/>
  </cols>
  <sheetData>
    <row r="1" spans="1:6" x14ac:dyDescent="0.2">
      <c r="B1" s="3" t="s">
        <v>12</v>
      </c>
      <c r="C1" s="3" t="s">
        <v>13</v>
      </c>
      <c r="D1" s="3" t="s">
        <v>14</v>
      </c>
      <c r="E1" s="3" t="s">
        <v>15</v>
      </c>
      <c r="F1" s="3"/>
    </row>
    <row r="2" spans="1:6" x14ac:dyDescent="0.2">
      <c r="A2" s="3" t="s">
        <v>16</v>
      </c>
      <c r="B2" s="8">
        <v>180000</v>
      </c>
      <c r="C2" s="14">
        <f>-PV(C3/12,C4*12,C5)</f>
        <v>174759.95879136238</v>
      </c>
      <c r="D2" s="13">
        <v>180000</v>
      </c>
      <c r="E2" s="13">
        <v>180000</v>
      </c>
    </row>
    <row r="3" spans="1:6" x14ac:dyDescent="0.2">
      <c r="A3" s="3" t="s">
        <v>17</v>
      </c>
      <c r="B3" s="9">
        <v>1.2E-2</v>
      </c>
      <c r="C3" s="12">
        <v>1.2E-2</v>
      </c>
      <c r="D3" s="12">
        <v>1.2E-2</v>
      </c>
      <c r="E3" s="17">
        <f>RATE(E4,-1*(E5*12),E2)</f>
        <v>8.2299977667530232E-3</v>
      </c>
    </row>
    <row r="4" spans="1:6" x14ac:dyDescent="0.2">
      <c r="A4" s="3" t="s">
        <v>18</v>
      </c>
      <c r="B4">
        <v>18</v>
      </c>
      <c r="C4">
        <v>18</v>
      </c>
      <c r="D4" s="18">
        <f>-NPER(D3,D5*12,D2)</f>
        <v>15.284442608688776</v>
      </c>
      <c r="E4" s="15">
        <v>18</v>
      </c>
    </row>
    <row r="5" spans="1:6" x14ac:dyDescent="0.2">
      <c r="A5" s="3" t="s">
        <v>19</v>
      </c>
      <c r="B5" s="7">
        <f>-PMT(B3/12,B4*12,B2)</f>
        <v>926.98579880866384</v>
      </c>
      <c r="C5" s="13">
        <v>900</v>
      </c>
      <c r="D5" s="13">
        <v>900</v>
      </c>
      <c r="E5" s="16">
        <v>900</v>
      </c>
    </row>
    <row r="6" spans="1:6" x14ac:dyDescent="0.2">
      <c r="A6" s="3" t="s">
        <v>20</v>
      </c>
      <c r="B6" s="7">
        <f>ABS(PMT(B3,B4,B2))</f>
        <v>11178.499620322718</v>
      </c>
      <c r="C6" s="10"/>
      <c r="D6" s="10"/>
      <c r="E6" s="10"/>
    </row>
    <row r="7" spans="1:6" x14ac:dyDescent="0.2">
      <c r="B7" s="11"/>
      <c r="C7" s="11"/>
      <c r="D7" s="11"/>
      <c r="E7" s="11"/>
    </row>
    <row r="8" spans="1:6" x14ac:dyDescent="0.2">
      <c r="A8" s="3" t="s">
        <v>21</v>
      </c>
      <c r="B8" t="s">
        <v>22</v>
      </c>
    </row>
    <row r="9" spans="1:6" x14ac:dyDescent="0.2">
      <c r="B9" t="s">
        <v>23</v>
      </c>
    </row>
    <row r="10" spans="1:6" x14ac:dyDescent="0.2">
      <c r="B10" t="s">
        <v>24</v>
      </c>
    </row>
    <row r="12" spans="1:6" x14ac:dyDescent="0.2">
      <c r="B12" s="10"/>
    </row>
    <row r="13" spans="1:6" x14ac:dyDescent="0.2">
      <c r="B13" s="10"/>
      <c r="C13" s="20"/>
    </row>
    <row r="14" spans="1:6" x14ac:dyDescent="0.2">
      <c r="C1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18E6-0026-4E8A-BBFC-8F0832C7D1C5}">
  <dimension ref="A1:K7"/>
  <sheetViews>
    <sheetView workbookViewId="0">
      <selection activeCell="E6" sqref="E6"/>
    </sheetView>
  </sheetViews>
  <sheetFormatPr baseColWidth="10" defaultColWidth="8.83203125" defaultRowHeight="16" x14ac:dyDescent="0.2"/>
  <cols>
    <col min="3" max="3" width="20.1640625" customWidth="1"/>
    <col min="5" max="5" width="16.6640625" customWidth="1"/>
    <col min="7" max="7" width="10.1640625" customWidth="1"/>
    <col min="8" max="8" width="10" customWidth="1"/>
    <col min="10" max="10" width="10.1640625" customWidth="1"/>
    <col min="11" max="11" width="16.83203125" customWidth="1"/>
  </cols>
  <sheetData>
    <row r="1" spans="1:11" x14ac:dyDescent="0.2">
      <c r="A1" s="22" t="s">
        <v>27</v>
      </c>
      <c r="B1" s="23" t="s">
        <v>71</v>
      </c>
      <c r="C1" s="23" t="s">
        <v>87</v>
      </c>
      <c r="E1" s="23" t="s">
        <v>88</v>
      </c>
      <c r="F1" s="23" t="s">
        <v>89</v>
      </c>
      <c r="G1" s="23" t="s">
        <v>90</v>
      </c>
      <c r="H1" s="23" t="s">
        <v>91</v>
      </c>
      <c r="I1" s="25" t="s">
        <v>92</v>
      </c>
      <c r="J1" s="25" t="s">
        <v>93</v>
      </c>
      <c r="K1" s="25" t="s">
        <v>94</v>
      </c>
    </row>
    <row r="2" spans="1:11" x14ac:dyDescent="0.2">
      <c r="A2" t="s">
        <v>59</v>
      </c>
      <c r="B2" s="24" t="s">
        <v>76</v>
      </c>
      <c r="C2" s="29" t="s">
        <v>95</v>
      </c>
      <c r="E2" t="str">
        <f>_xlfn.CONCAT(A2,".",B2)</f>
        <v>Toto.Tartu</v>
      </c>
      <c r="F2" t="str">
        <f>(A2 &amp; "." &amp; B2)</f>
        <v>Toto.Tartu</v>
      </c>
      <c r="G2" t="str">
        <f>RIGHT(E2,3)</f>
        <v>rtu</v>
      </c>
      <c r="H2" t="str">
        <f>LEFT(C2,3)</f>
        <v>Tot</v>
      </c>
      <c r="I2">
        <f>FIND("@",C2,1)</f>
        <v>11</v>
      </c>
      <c r="J2">
        <f>SEARCH("@",C2,1)</f>
        <v>11</v>
      </c>
      <c r="K2" t="str">
        <f>LEFT(C2,SEARCH("@",C2))</f>
        <v>Toto.Tartu@</v>
      </c>
    </row>
    <row r="3" spans="1:11" x14ac:dyDescent="0.2">
      <c r="A3" t="s">
        <v>61</v>
      </c>
      <c r="B3" s="24" t="s">
        <v>75</v>
      </c>
      <c r="C3" s="29" t="s">
        <v>96</v>
      </c>
    </row>
    <row r="4" spans="1:11" x14ac:dyDescent="0.2">
      <c r="A4" t="s">
        <v>63</v>
      </c>
      <c r="B4" s="24" t="s">
        <v>76</v>
      </c>
      <c r="C4" s="29" t="s">
        <v>97</v>
      </c>
    </row>
    <row r="5" spans="1:11" x14ac:dyDescent="0.2">
      <c r="A5" t="s">
        <v>59</v>
      </c>
      <c r="B5" s="24" t="s">
        <v>75</v>
      </c>
      <c r="C5" s="29" t="s">
        <v>98</v>
      </c>
      <c r="E5" s="28" t="s">
        <v>99</v>
      </c>
    </row>
    <row r="6" spans="1:11" x14ac:dyDescent="0.2">
      <c r="A6" t="s">
        <v>61</v>
      </c>
      <c r="B6" s="24" t="s">
        <v>76</v>
      </c>
      <c r="C6" s="29" t="s">
        <v>100</v>
      </c>
      <c r="E6" t="s">
        <v>101</v>
      </c>
      <c r="F6" s="3" t="s">
        <v>92</v>
      </c>
      <c r="G6" t="e">
        <f>FIND(E6,C6)</f>
        <v>#VALUE!</v>
      </c>
      <c r="H6" s="3" t="s">
        <v>93</v>
      </c>
      <c r="I6">
        <f>SEARCH(E6,C6)</f>
        <v>1</v>
      </c>
    </row>
    <row r="7" spans="1:11" x14ac:dyDescent="0.2">
      <c r="A7" t="s">
        <v>63</v>
      </c>
      <c r="B7" s="24" t="s">
        <v>76</v>
      </c>
      <c r="C7" s="29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9457-8447-40E7-8921-49473493B679}">
  <dimension ref="A1:N25"/>
  <sheetViews>
    <sheetView workbookViewId="0">
      <selection activeCell="G23" sqref="G23"/>
    </sheetView>
  </sheetViews>
  <sheetFormatPr baseColWidth="10" defaultColWidth="8.83203125" defaultRowHeight="16" x14ac:dyDescent="0.2"/>
  <cols>
    <col min="1" max="1" width="13" customWidth="1"/>
    <col min="2" max="2" width="10.1640625" style="24" customWidth="1"/>
    <col min="3" max="3" width="11.83203125" style="26" customWidth="1"/>
    <col min="6" max="6" width="17.1640625" customWidth="1"/>
    <col min="7" max="7" width="9.5" bestFit="1" customWidth="1"/>
    <col min="9" max="9" width="11" customWidth="1"/>
  </cols>
  <sheetData>
    <row r="1" spans="1:10" x14ac:dyDescent="0.2">
      <c r="A1" s="22" t="s">
        <v>27</v>
      </c>
      <c r="B1" s="23" t="s">
        <v>57</v>
      </c>
      <c r="C1" s="25" t="s">
        <v>58</v>
      </c>
      <c r="F1" s="25" t="s">
        <v>103</v>
      </c>
      <c r="I1" t="s">
        <v>104</v>
      </c>
    </row>
    <row r="2" spans="1:10" x14ac:dyDescent="0.2">
      <c r="A2" t="s">
        <v>59</v>
      </c>
      <c r="B2" s="24">
        <v>8.3000000000000007</v>
      </c>
      <c r="C2" s="26" t="str" cm="1">
        <f t="array" ref="C2">_xlfn.IFS(B2&lt;9,"Non acquis",B2&lt;12,"En cours d'acquisition",B2&lt;16,"À consolider",B2&gt;=16,"Acquis")</f>
        <v>Non acquis</v>
      </c>
      <c r="F2" s="24">
        <f>AVERAGEIF($B$2:$B$6, "&lt;10")</f>
        <v>8.3000000000000007</v>
      </c>
      <c r="G2" t="s">
        <v>60</v>
      </c>
      <c r="I2" t="s">
        <v>105</v>
      </c>
    </row>
    <row r="3" spans="1:10" x14ac:dyDescent="0.2">
      <c r="A3" t="s">
        <v>61</v>
      </c>
      <c r="B3" s="24">
        <v>11.3</v>
      </c>
      <c r="C3" s="26" t="str" cm="1">
        <f t="array" ref="C3">_xlfn.IFS(B3&lt;9,"Non acquis",B3&lt;12,"En cours d'acquisition",B3&lt;16,"À consolider",B3&gt;=16,"Acquis")</f>
        <v>En cours d'acquisition</v>
      </c>
      <c r="F3" s="24">
        <f>AVERAGEIFS(B2:B6,B2:B6,"&gt;=15")</f>
        <v>15.75</v>
      </c>
      <c r="G3" t="s">
        <v>62</v>
      </c>
    </row>
    <row r="4" spans="1:10" x14ac:dyDescent="0.2">
      <c r="A4" t="s">
        <v>63</v>
      </c>
      <c r="B4" s="24">
        <v>12.5</v>
      </c>
      <c r="C4" s="26" t="str" cm="1">
        <f t="array" ref="C4">_xlfn.IFS(B4&lt;9,"Non acquis",B4&lt;12,"En cours d'acquisition",B4&lt;16,"À consolider",B4&gt;=16,"Acquis")</f>
        <v>À consolider</v>
      </c>
      <c r="F4" s="31">
        <f>AVERAGEIFS(B$2:B$6,B$2:B$6,"&gt;=10",B2:B6,"&lt;15")</f>
        <v>11.9</v>
      </c>
      <c r="G4" s="30" t="s">
        <v>64</v>
      </c>
      <c r="I4" t="s">
        <v>65</v>
      </c>
    </row>
    <row r="5" spans="1:10" x14ac:dyDescent="0.2">
      <c r="A5" t="s">
        <v>66</v>
      </c>
      <c r="B5" s="24">
        <v>15</v>
      </c>
      <c r="C5" s="26" t="str" cm="1">
        <f t="array" ref="C5">_xlfn.IFS(B5&lt;9,"Non acquis",B5&lt;12,"En cours d'acquisition",B5&lt;16,"À consolider",B5&gt;=16,"Acquis")</f>
        <v>À consolider</v>
      </c>
      <c r="I5" t="s">
        <v>67</v>
      </c>
    </row>
    <row r="6" spans="1:10" x14ac:dyDescent="0.2">
      <c r="A6" t="s">
        <v>68</v>
      </c>
      <c r="B6" s="24">
        <v>16.5</v>
      </c>
      <c r="C6" s="26" t="str" cm="1">
        <f t="array" ref="C6">_xlfn.IFS(B6&lt;9,"Non acquis",B6&lt;12,"En cours d'acquisition",B6&lt;16,"À consolider",B6&gt;=16,"Acquis")</f>
        <v>Acquis</v>
      </c>
      <c r="I6" t="s">
        <v>69</v>
      </c>
    </row>
    <row r="7" spans="1:10" x14ac:dyDescent="0.2">
      <c r="I7" t="e">
        <f>AND("&gt;=10","&lt;15")</f>
        <v>#VALUE!</v>
      </c>
    </row>
    <row r="11" spans="1:10" x14ac:dyDescent="0.2">
      <c r="A11" s="3" t="s">
        <v>70</v>
      </c>
    </row>
    <row r="13" spans="1:10" x14ac:dyDescent="0.2">
      <c r="A13" s="22" t="s">
        <v>27</v>
      </c>
      <c r="B13" s="23" t="s">
        <v>71</v>
      </c>
      <c r="C13" s="25" t="s">
        <v>72</v>
      </c>
      <c r="D13" s="25" t="s">
        <v>73</v>
      </c>
      <c r="F13" s="3" t="s">
        <v>74</v>
      </c>
      <c r="G13" s="24" t="s">
        <v>59</v>
      </c>
      <c r="H13" s="24" t="s">
        <v>75</v>
      </c>
    </row>
    <row r="14" spans="1:10" x14ac:dyDescent="0.2">
      <c r="A14" t="s">
        <v>59</v>
      </c>
      <c r="B14" s="24" t="s">
        <v>76</v>
      </c>
      <c r="C14" s="26">
        <v>11</v>
      </c>
      <c r="D14">
        <v>1</v>
      </c>
      <c r="F14" s="3" t="s">
        <v>77</v>
      </c>
      <c r="G14">
        <f>_xlfn.XMATCH(G13,A14:A20)</f>
        <v>1</v>
      </c>
      <c r="H14">
        <f>_xlfn.XMATCH(H13,B14:B20)</f>
        <v>2</v>
      </c>
    </row>
    <row r="15" spans="1:10" x14ac:dyDescent="0.2">
      <c r="A15" t="s">
        <v>61</v>
      </c>
      <c r="B15" s="24" t="s">
        <v>75</v>
      </c>
      <c r="C15" s="26">
        <v>12</v>
      </c>
      <c r="D15">
        <v>2</v>
      </c>
      <c r="F15" s="3" t="s">
        <v>78</v>
      </c>
      <c r="G15">
        <f>_xlfn.XMATCH(G13,A14:A20,0,-1)</f>
        <v>4</v>
      </c>
      <c r="H15">
        <f>_xlfn.XMATCH(H13,B14:B20,0,-1)</f>
        <v>4</v>
      </c>
      <c r="J15" t="s">
        <v>79</v>
      </c>
    </row>
    <row r="16" spans="1:10" x14ac:dyDescent="0.2">
      <c r="A16" t="s">
        <v>63</v>
      </c>
      <c r="B16" s="24" t="s">
        <v>76</v>
      </c>
      <c r="C16" s="26">
        <v>13</v>
      </c>
      <c r="D16">
        <v>3</v>
      </c>
    </row>
    <row r="17" spans="1:14" x14ac:dyDescent="0.2">
      <c r="A17" t="s">
        <v>59</v>
      </c>
      <c r="B17" s="24" t="s">
        <v>75</v>
      </c>
      <c r="C17" s="26">
        <v>14</v>
      </c>
      <c r="D17">
        <v>4</v>
      </c>
      <c r="F17" s="3" t="s">
        <v>106</v>
      </c>
      <c r="G17" cm="1">
        <f t="array" ref="G17">MATCH( 1, ($A$14:$A$20 = $G$13) * ($B$14:$B$20 = $H$13), 0)</f>
        <v>4</v>
      </c>
      <c r="J17" cm="1">
        <f t="array" ref="J17:J23">($A$14:$A$20 = $G$13) * ($B$14:$B$20 = $H$13)</f>
        <v>0</v>
      </c>
      <c r="K17" s="27" t="b" cm="1">
        <f t="array" ref="K17:K23">($A$14:$A$20 = $G$13)</f>
        <v>1</v>
      </c>
      <c r="L17" t="b" cm="1">
        <f t="array" ref="L17:L23">(B14:B20 = $H$13)</f>
        <v>0</v>
      </c>
      <c r="M17" s="28" t="s">
        <v>80</v>
      </c>
      <c r="N17" s="28"/>
    </row>
    <row r="18" spans="1:14" x14ac:dyDescent="0.2">
      <c r="A18" t="s">
        <v>61</v>
      </c>
      <c r="B18" s="24" t="s">
        <v>76</v>
      </c>
      <c r="C18" s="26">
        <v>15</v>
      </c>
      <c r="D18">
        <v>5</v>
      </c>
      <c r="F18" s="3" t="s">
        <v>81</v>
      </c>
      <c r="G18" cm="1">
        <f t="array" ref="G18">INDEX($A$14:$D$20,MATCH( 1, ($A$14:$A$20 = $G$13) * ($B$14:$B$20 = $H$13), 0),3)</f>
        <v>14</v>
      </c>
      <c r="H18" cm="1">
        <f t="array" ref="H18">INDEX(A14:D20,_xlfn.XMATCH( 1, ($A$14:$A$20 = $G$13) * ($B$14:$B$20 = $H$13), 0, -1),3)</f>
        <v>14</v>
      </c>
      <c r="J18">
        <v>0</v>
      </c>
      <c r="K18" t="b">
        <v>0</v>
      </c>
      <c r="L18" t="b">
        <v>1</v>
      </c>
      <c r="M18" s="28" t="s">
        <v>82</v>
      </c>
      <c r="N18" s="28"/>
    </row>
    <row r="19" spans="1:14" x14ac:dyDescent="0.2">
      <c r="A19" t="s">
        <v>63</v>
      </c>
      <c r="B19" s="24" t="s">
        <v>76</v>
      </c>
      <c r="C19" s="26">
        <v>16</v>
      </c>
      <c r="D19">
        <v>6</v>
      </c>
      <c r="F19" s="28" t="s">
        <v>83</v>
      </c>
      <c r="J19">
        <v>0</v>
      </c>
      <c r="K19" t="b">
        <v>0</v>
      </c>
      <c r="L19" t="b">
        <v>0</v>
      </c>
      <c r="M19" s="28" t="s">
        <v>84</v>
      </c>
      <c r="N19" s="28"/>
    </row>
    <row r="20" spans="1:14" x14ac:dyDescent="0.2">
      <c r="A20" t="s">
        <v>110</v>
      </c>
      <c r="B20" s="24" t="s">
        <v>107</v>
      </c>
      <c r="C20" s="26">
        <v>12</v>
      </c>
      <c r="D20">
        <v>7</v>
      </c>
      <c r="F20" s="28" t="s">
        <v>85</v>
      </c>
      <c r="J20">
        <v>1</v>
      </c>
      <c r="K20" t="b">
        <v>1</v>
      </c>
      <c r="L20" t="b">
        <v>1</v>
      </c>
      <c r="M20" s="28" t="s">
        <v>86</v>
      </c>
      <c r="N20" s="28"/>
    </row>
    <row r="21" spans="1:14" x14ac:dyDescent="0.2">
      <c r="J21">
        <v>0</v>
      </c>
      <c r="K21" t="b">
        <v>0</v>
      </c>
      <c r="L21" t="b">
        <v>0</v>
      </c>
    </row>
    <row r="22" spans="1:14" x14ac:dyDescent="0.2">
      <c r="J22">
        <v>0</v>
      </c>
      <c r="K22" t="b">
        <v>0</v>
      </c>
      <c r="L22" t="b">
        <v>0</v>
      </c>
    </row>
    <row r="23" spans="1:14" x14ac:dyDescent="0.2">
      <c r="F23" s="3" t="s">
        <v>108</v>
      </c>
      <c r="G23" t="s">
        <v>111</v>
      </c>
      <c r="H23" t="s">
        <v>112</v>
      </c>
      <c r="J23">
        <v>0</v>
      </c>
      <c r="K23" t="b">
        <v>0</v>
      </c>
      <c r="L23" t="b">
        <v>0</v>
      </c>
    </row>
    <row r="24" spans="1:14" x14ac:dyDescent="0.2">
      <c r="F24" t="s">
        <v>109</v>
      </c>
      <c r="G24">
        <f>_xlfn.XMATCH(G$23,A$14:A$20,2,1)</f>
        <v>2</v>
      </c>
      <c r="H24">
        <f>_xlfn.XMATCH(H$23,B$14:B$20,2,1)</f>
        <v>1</v>
      </c>
      <c r="I24" t="s">
        <v>113</v>
      </c>
    </row>
    <row r="25" spans="1:14" x14ac:dyDescent="0.2">
      <c r="G25">
        <f>_xlfn.XMATCH(G$23,A$14:A$20,2,-1)</f>
        <v>7</v>
      </c>
      <c r="H25">
        <f>_xlfn.XMATCH(H$23,B$14:B$20,2,-1)</f>
        <v>7</v>
      </c>
      <c r="I2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Feuil1</vt:lpstr>
      <vt:lpstr>Tests</vt:lpstr>
      <vt:lpstr>Stats</vt:lpstr>
      <vt:lpstr>Dates</vt:lpstr>
      <vt:lpstr>Prêts</vt:lpstr>
      <vt:lpstr>Texte</vt:lpstr>
      <vt:lpstr>Tests 2</vt:lpstr>
      <vt:lpstr>PrixKM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Manuele Kirsch Pinheiro</dc:creator>
  <cp:keywords/>
  <dc:description/>
  <cp:lastModifiedBy>Manuele Kirsch Pinheiro</cp:lastModifiedBy>
  <cp:revision/>
  <dcterms:created xsi:type="dcterms:W3CDTF">2019-09-05T18:05:41Z</dcterms:created>
  <dcterms:modified xsi:type="dcterms:W3CDTF">2022-08-31T13:48:18Z</dcterms:modified>
  <cp:category/>
  <cp:contentStatus/>
</cp:coreProperties>
</file>